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ètres" sheetId="1" state="visible" r:id="rId1"/>
    <sheet xmlns:r="http://schemas.openxmlformats.org/officeDocument/2006/relationships" name="Tableau 30 ans" sheetId="2" state="visible" r:id="rId2"/>
    <sheet xmlns:r="http://schemas.openxmlformats.org/officeDocument/2006/relationships" name="Guide" sheetId="3" state="visible" r:id="rId3"/>
  </sheets>
  <definedNames>
    <definedName name="PRIX">'Paramètres'!$B$5</definedName>
    <definedName name="TERRAIN_PCT">'Paramètres'!$B$6</definedName>
    <definedName name="FRAIS_NOTAIRE">'Paramètres'!$B$7</definedName>
    <definedName name="TRAVAUX">'Paramètres'!$B$8</definedName>
    <definedName name="MOBILIER">'Paramètres'!$B$9</definedName>
    <definedName name="DUREE_MURS">'Paramètres'!$B$12</definedName>
    <definedName name="DUREE_MOBILIER">'Paramètres'!$B$13</definedName>
    <definedName name="DUREE_TRAVAUX">'Paramètres'!$B$14</definedName>
    <definedName name="LOYER_MENSUEL">'Paramètres'!$B$17</definedName>
    <definedName name="VACANCE">'Paramètres'!$B$18</definedName>
    <definedName name="CHARGES_AN">'Paramètres'!$B$19</definedName>
    <definedName name="INTERETS">'Paramètres'!$B$20</definedName>
    <definedName name="TAXE_FONCIERE">'Paramètres'!$B$21</definedName>
    <definedName name="TMI">'Paramètres'!$B$24</definedName>
    <definedName name="PRELEVSOCIAUX">'Paramètres'!$B$25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€&quot;"/>
    <numFmt numFmtId="165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i val="1"/>
      <color rgb="0064748B"/>
      <sz val="9"/>
    </font>
    <font>
      <name val="Calibri"/>
      <b val="1"/>
      <color rgb="00FFFFFF"/>
      <sz val="10"/>
    </font>
    <font>
      <name val="Calibri"/>
      <color rgb="0064748B"/>
      <sz val="10"/>
    </font>
    <font>
      <name val="Calibri"/>
      <b val="1"/>
      <color rgb="001A3A6C"/>
      <sz val="11"/>
    </font>
    <font>
      <name val="Calibri"/>
      <b val="1"/>
      <color rgb="0016A34A"/>
      <sz val="11"/>
    </font>
    <font>
      <name val="Calibri"/>
      <i val="1"/>
      <color rgb="0064748B"/>
      <sz val="8"/>
    </font>
    <font>
      <name val="Calibri"/>
      <b val="1"/>
      <color rgb="00FFFFFF"/>
      <sz val="12"/>
    </font>
    <font>
      <name val="Calibri"/>
      <b val="1"/>
      <color rgb="00FFFFFF"/>
      <sz val="9"/>
    </font>
    <font>
      <name val="Calibri"/>
      <b val="1"/>
      <color rgb="001A3A6C"/>
      <sz val="10"/>
    </font>
    <font>
      <name val="Calibri"/>
      <color rgb="0064748B"/>
      <sz val="9"/>
    </font>
    <font>
      <name val="Calibri"/>
      <b val="1"/>
      <color rgb="0016A34A"/>
      <sz val="9"/>
    </font>
    <font>
      <name val="Calibri"/>
      <b val="1"/>
      <color rgb="00C9A227"/>
      <sz val="10"/>
    </font>
  </fonts>
  <fills count="9">
    <fill>
      <patternFill/>
    </fill>
    <fill>
      <patternFill patternType="gray125"/>
    </fill>
    <fill>
      <patternFill patternType="solid">
        <fgColor rgb="001A3A6C"/>
      </patternFill>
    </fill>
    <fill>
      <patternFill patternType="solid">
        <fgColor rgb="00FEF3C7"/>
      </patternFill>
    </fill>
    <fill>
      <patternFill patternType="solid">
        <fgColor rgb="00C9A227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left" vertical="center" indent="1"/>
    </xf>
    <xf numFmtId="164" fontId="5" fillId="6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left" vertical="center" indent="1"/>
    </xf>
    <xf numFmtId="164" fontId="6" fillId="6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0" fontId="7" fillId="3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/>
    </xf>
    <xf numFmtId="164" fontId="11" fillId="6" borderId="1" applyAlignment="1" pivotButton="0" quotePrefix="0" xfId="0">
      <alignment horizontal="right" vertical="center"/>
    </xf>
    <xf numFmtId="164" fontId="12" fillId="6" borderId="1" applyAlignment="1" pivotButton="0" quotePrefix="0" xfId="0">
      <alignment horizontal="right" vertical="center"/>
    </xf>
    <xf numFmtId="0" fontId="10" fillId="8" borderId="1" applyAlignment="1" pivotButton="0" quotePrefix="0" xfId="0">
      <alignment horizontal="center" vertical="center"/>
    </xf>
    <xf numFmtId="164" fontId="11" fillId="8" borderId="1" applyAlignment="1" pivotButton="0" quotePrefix="0" xfId="0">
      <alignment horizontal="right" vertical="center"/>
    </xf>
    <xf numFmtId="164" fontId="12" fillId="8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right" vertical="center"/>
    </xf>
    <xf numFmtId="0" fontId="10" fillId="0" borderId="0" pivotButton="0" quotePrefix="0" xfId="0"/>
    <xf numFmtId="0" fontId="4" fillId="0" borderId="0" applyAlignment="1" pivotButton="0" quotePrefix="0" xfId="0">
      <alignment vertical="center" wrapText="1"/>
    </xf>
    <xf numFmtId="0" fontId="13" fillId="3" borderId="0" pivotButton="0" quotePrefix="0" xfId="0"/>
    <xf numFmtId="0" fontId="4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3" customWidth="1" min="3" max="3"/>
    <col width="30" customWidth="1" min="4" max="4"/>
    <col width="20" customWidth="1" min="5" max="5"/>
  </cols>
  <sheetData>
    <row r="1" ht="32" customHeight="1">
      <c r="A1" s="1" t="inlineStr">
        <is>
          <t>Simulateur d'amortissement LMNP — Investis.fr</t>
        </is>
      </c>
    </row>
    <row r="2" ht="16" customHeight="1">
      <c r="A2" s="2" t="inlineStr">
        <is>
          <t>investis.fr/simulateur-amortissement-lmnp — Modifiez les cellules en gras pour adapter à votre situation</t>
        </is>
      </c>
    </row>
    <row r="4" ht="22" customHeight="1">
      <c r="A4" s="3" t="inlineStr">
        <is>
          <t xml:space="preserve">  Paramètres du bien</t>
        </is>
      </c>
      <c r="D4" s="3" t="inlineStr">
        <is>
          <t xml:space="preserve">  Résultats calculés automatiquement</t>
        </is>
      </c>
    </row>
    <row r="5" ht="20" customHeight="1">
      <c r="A5" s="4" t="inlineStr">
        <is>
          <t>Prix d'acquisition (€)</t>
        </is>
      </c>
      <c r="B5" s="5" t="n">
        <v>200000</v>
      </c>
      <c r="D5" s="6" t="inlineStr">
        <is>
          <t>Base amortissable murs (€)</t>
        </is>
      </c>
      <c r="E5" s="7">
        <f>PRIX*(1-TERRAIN_PCT)+FRAIS_NOTAIRE</f>
        <v/>
      </c>
    </row>
    <row r="6" ht="20" customHeight="1">
      <c r="A6" s="4" t="inlineStr">
        <is>
          <t>Quote-part terrain (%)</t>
        </is>
      </c>
      <c r="B6" s="8" t="n">
        <v>0.2</v>
      </c>
      <c r="D6" s="6" t="inlineStr">
        <is>
          <t>Amortissement murs / an (€)</t>
        </is>
      </c>
      <c r="E6" s="7">
        <f>(PRIX*(1-TERRAIN_PCT)+FRAIS_NOTAIRE)/DUREE_MURS</f>
        <v/>
      </c>
    </row>
    <row r="7" ht="20" customHeight="1">
      <c r="A7" s="4" t="inlineStr">
        <is>
          <t>Frais de notaire (€)</t>
        </is>
      </c>
      <c r="B7" s="5" t="n">
        <v>16000</v>
      </c>
      <c r="D7" s="6" t="inlineStr">
        <is>
          <t>Amortissement mobilier / an (€)</t>
        </is>
      </c>
      <c r="E7" s="7">
        <f>MOBILIER/DUREE_MOBILIER</f>
        <v/>
      </c>
    </row>
    <row r="8" ht="20" customHeight="1">
      <c r="A8" s="4" t="inlineStr">
        <is>
          <t>Travaux amortissables (€)</t>
        </is>
      </c>
      <c r="B8" s="5" t="n">
        <v>10000</v>
      </c>
      <c r="D8" s="6" t="inlineStr">
        <is>
          <t>Amortissement travaux / an (€)</t>
        </is>
      </c>
      <c r="E8" s="7">
        <f>TRAVAUX/DUREE_TRAVAUX</f>
        <v/>
      </c>
    </row>
    <row r="9" ht="20" customHeight="1">
      <c r="A9" s="4" t="inlineStr">
        <is>
          <t>Valeur du mobilier (€)</t>
        </is>
      </c>
      <c r="B9" s="5" t="n">
        <v>8000</v>
      </c>
      <c r="D9" s="6" t="inlineStr">
        <is>
          <t>Amortissement total an 1 (€)</t>
        </is>
      </c>
      <c r="E9" s="7">
        <f>(PRIX*(1-TERRAIN_PCT)+FRAIS_NOTAIRE)/DUREE_MURS+MOBILIER/DUREE_MOBILIER+TRAVAUX/DUREE_TRAVAUX</f>
        <v/>
      </c>
    </row>
    <row r="11" ht="20" customHeight="1">
      <c r="A11" s="3" t="inlineStr">
        <is>
          <t xml:space="preserve">  Durées d'amortissement (années)</t>
        </is>
      </c>
      <c r="D11" s="6" t="inlineStr">
        <is>
          <t>Loyers bruts annuels (€)</t>
        </is>
      </c>
      <c r="E11" s="7">
        <f>LOYER_MENSUEL*12</f>
        <v/>
      </c>
    </row>
    <row r="12" ht="20" customHeight="1">
      <c r="A12" s="4" t="inlineStr">
        <is>
          <t>Durée amort. murs (années)</t>
        </is>
      </c>
      <c r="B12" s="9" t="n">
        <v>30</v>
      </c>
      <c r="D12" s="6" t="inlineStr">
        <is>
          <t>Loyers nets de vacance (€)</t>
        </is>
      </c>
      <c r="E12" s="7">
        <f>LOYER_MENSUEL*12*(1-VACANCE)</f>
        <v/>
      </c>
    </row>
    <row r="13" ht="20" customHeight="1">
      <c r="A13" s="4" t="inlineStr">
        <is>
          <t>Durée amort. mobilier (années)</t>
        </is>
      </c>
      <c r="B13" s="9" t="n">
        <v>10</v>
      </c>
      <c r="D13" s="6" t="inlineStr">
        <is>
          <t>Total charges déductibles (€)</t>
        </is>
      </c>
      <c r="E13" s="7">
        <f>CHARGES_AN+INTERETS+TAXE_FONCIERE</f>
        <v/>
      </c>
    </row>
    <row r="14" ht="20" customHeight="1">
      <c r="A14" s="4" t="inlineStr">
        <is>
          <t>Durée amort. travaux (années)</t>
        </is>
      </c>
      <c r="B14" s="9" t="n">
        <v>15</v>
      </c>
      <c r="D14" s="6" t="inlineStr">
        <is>
          <t>Résultat fiscal an 1 (€)</t>
        </is>
      </c>
      <c r="E14" s="7">
        <f>LOYER_MENSUEL*12*(1-VACANCE)-CHARGES_AN-INTERETS-TAXE_FONCIERE-(PRIX*(1-TERRAIN_PCT)+FRAIS_NOTAIRE)/DUREE_MURS-MOBILIER/DUREE_MOBILIER-TRAVAUX/DUREE_TRAVAUX</f>
        <v/>
      </c>
    </row>
    <row r="15" ht="20" customHeight="1">
      <c r="D15" s="6" t="inlineStr">
        <is>
          <t>Économie d'impôts an 1 (€)</t>
        </is>
      </c>
      <c r="E15" s="7">
        <f>MAX(0,-(LOYER_MENSUEL*12*(1-VACANCE)-CHARGES_AN-INTERETS-TAXE_FONCIERE-(PRIX*(1-TERRAIN_PCT)+FRAIS_NOTAIRE)/DUREE_MURS-MOBILIER/DUREE_MOBILIER-TRAVAUX/DUREE_TRAVAUX))*(TMI+PRELEVSOCIAUX)</f>
        <v/>
      </c>
    </row>
    <row r="16" ht="22" customHeight="1">
      <c r="A16" s="3" t="inlineStr">
        <is>
          <t xml:space="preserve">  Revenus &amp; charges</t>
        </is>
      </c>
    </row>
    <row r="17" ht="20" customHeight="1">
      <c r="A17" s="4" t="inlineStr">
        <is>
          <t>Loyer mensuel HC (€)</t>
        </is>
      </c>
      <c r="B17" s="5" t="n">
        <v>900</v>
      </c>
      <c r="D17" s="6" t="inlineStr">
        <is>
          <t>Loyer net mensuel estimé (€)</t>
        </is>
      </c>
      <c r="E17" s="7">
        <f>(LOYER_MENSUEL*12*(1-VACANCE)-CHARGES_AN-TAXE_FONCIERE)/12</f>
        <v/>
      </c>
    </row>
    <row r="18" ht="20" customHeight="1">
      <c r="A18" s="4" t="inlineStr">
        <is>
          <t>Taux vacance locative (%)</t>
        </is>
      </c>
      <c r="B18" s="8" t="n">
        <v>0.05</v>
      </c>
      <c r="D18" s="6" t="inlineStr">
        <is>
          <t>Rendement brut (%)</t>
        </is>
      </c>
      <c r="E18" s="10">
        <f>LOYER_MENSUEL*12/PRIX</f>
        <v/>
      </c>
    </row>
    <row r="19" ht="20" customHeight="1">
      <c r="A19" s="4" t="inlineStr">
        <is>
          <t>Charges annuelles (€)</t>
        </is>
      </c>
      <c r="B19" s="5" t="n">
        <v>2400</v>
      </c>
    </row>
    <row r="20" ht="20" customHeight="1">
      <c r="A20" s="4" t="inlineStr">
        <is>
          <t>Intérêts emprunt an 1 (€)</t>
        </is>
      </c>
      <c r="B20" s="5" t="n">
        <v>5200</v>
      </c>
    </row>
    <row r="21" ht="20" customHeight="1">
      <c r="A21" s="4" t="inlineStr">
        <is>
          <t>Taxe foncière (€)</t>
        </is>
      </c>
      <c r="B21" s="5" t="n">
        <v>800</v>
      </c>
    </row>
    <row r="23" ht="22" customHeight="1">
      <c r="A23" s="3" t="inlineStr">
        <is>
          <t xml:space="preserve">  Fiscalité</t>
        </is>
      </c>
    </row>
    <row r="24" ht="20" customHeight="1">
      <c r="A24" s="4" t="inlineStr">
        <is>
          <t>TMI (%)</t>
        </is>
      </c>
      <c r="B24" s="8" t="n">
        <v>0.3</v>
      </c>
    </row>
    <row r="25" ht="20" customHeight="1">
      <c r="A25" s="4" t="inlineStr">
        <is>
          <t>Prélèvements sociaux (%)</t>
        </is>
      </c>
      <c r="B25" s="8" t="n">
        <v>0.172</v>
      </c>
    </row>
    <row r="27" ht="20" customHeight="1">
      <c r="A27" s="11" t="inlineStr">
        <is>
          <t>Ce fichier est fourni à titre indicatif. Faites valider votre montage par un expert-comptable. investis.fr</t>
        </is>
      </c>
    </row>
  </sheetData>
  <mergeCells count="8">
    <mergeCell ref="A4:B4"/>
    <mergeCell ref="A16:B16"/>
    <mergeCell ref="A2:E2"/>
    <mergeCell ref="A11:B11"/>
    <mergeCell ref="A1:E1"/>
    <mergeCell ref="D4:E4"/>
    <mergeCell ref="A23:B23"/>
    <mergeCell ref="A27:E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7" customWidth="1" min="3" max="3"/>
    <col width="17" customWidth="1" min="4" max="4"/>
    <col width="17" customWidth="1" min="5" max="5"/>
    <col width="16" customWidth="1" min="6" max="6"/>
    <col width="16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2" t="inlineStr">
        <is>
          <t>Tableau d'amortissement LMNP sur 30 ans — paramètres depuis l'onglet 'Paramètres'</t>
        </is>
      </c>
    </row>
    <row r="2" ht="38" customHeight="1">
      <c r="A2" s="13" t="inlineStr">
        <is>
          <t>Année</t>
        </is>
      </c>
      <c r="B2" s="13" t="inlineStr">
        <is>
          <t>Amort.
murs (€)</t>
        </is>
      </c>
      <c r="C2" s="13" t="inlineStr">
        <is>
          <t>Amort.
mobilier (€)</t>
        </is>
      </c>
      <c r="D2" s="13" t="inlineStr">
        <is>
          <t>Amort.
travaux (€)</t>
        </is>
      </c>
      <c r="E2" s="13" t="inlineStr">
        <is>
          <t>Total amort.
(€)</t>
        </is>
      </c>
      <c r="F2" s="13" t="inlineStr">
        <is>
          <t>Loyers nets
(€)</t>
        </is>
      </c>
      <c r="G2" s="13" t="inlineStr">
        <is>
          <t>Charges
totales (€)</t>
        </is>
      </c>
      <c r="H2" s="13" t="inlineStr">
        <is>
          <t>Résultat
fiscal (€)</t>
        </is>
      </c>
      <c r="I2" s="13" t="inlineStr">
        <is>
          <t>Impôts
économisés (€)</t>
        </is>
      </c>
      <c r="J2" s="13" t="inlineStr">
        <is>
          <t>Flux net
estimé (€)</t>
        </is>
      </c>
    </row>
    <row r="3" ht="17" customHeight="1">
      <c r="A3" s="14" t="n">
        <v>1</v>
      </c>
      <c r="B3" s="15">
        <f>IF(1&lt;=DUREE_MURS,(PRIX*(1-TERRAIN_PCT)+FRAIS_NOTAIRE)/DUREE_MURS,0)</f>
        <v/>
      </c>
      <c r="C3" s="15">
        <f>IF(1&lt;=DUREE_MOBILIER,MOBILIER/DUREE_MOBILIER,0)</f>
        <v/>
      </c>
      <c r="D3" s="15">
        <f>IF(1&lt;=DUREE_TRAVAUX,TRAVAUX/DUREE_TRAVAUX,0)</f>
        <v/>
      </c>
      <c r="E3" s="15">
        <f>B3+C3+D3</f>
        <v/>
      </c>
      <c r="F3" s="15">
        <f>LOYER_MENSUEL*12*(1-VACANCE)</f>
        <v/>
      </c>
      <c r="G3" s="15">
        <f>CHARGES_AN+=INTERETS*MAX(0,1-(1-1)/20)+TAXE_FONCIERE</f>
        <v/>
      </c>
      <c r="H3" s="15">
        <f>F3-G3-E3</f>
        <v/>
      </c>
      <c r="I3" s="16">
        <f>MAX(0,-H3)*(TMI+PRELEVSOCIAUX)</f>
        <v/>
      </c>
      <c r="J3" s="15">
        <f>F3-G3+I3</f>
        <v/>
      </c>
    </row>
    <row r="4" ht="17" customHeight="1">
      <c r="A4" s="17" t="n">
        <v>2</v>
      </c>
      <c r="B4" s="18">
        <f>IF(2&lt;=DUREE_MURS,(PRIX*(1-TERRAIN_PCT)+FRAIS_NOTAIRE)/DUREE_MURS,0)</f>
        <v/>
      </c>
      <c r="C4" s="18">
        <f>IF(2&lt;=DUREE_MOBILIER,MOBILIER/DUREE_MOBILIER,0)</f>
        <v/>
      </c>
      <c r="D4" s="18">
        <f>IF(2&lt;=DUREE_TRAVAUX,TRAVAUX/DUREE_TRAVAUX,0)</f>
        <v/>
      </c>
      <c r="E4" s="18">
        <f>B4+C4+D4</f>
        <v/>
      </c>
      <c r="F4" s="18">
        <f>LOYER_MENSUEL*12*(1-VACANCE)</f>
        <v/>
      </c>
      <c r="G4" s="18">
        <f>CHARGES_AN+=INTERETS*MAX(0,1-(2-1)/20)+TAXE_FONCIERE</f>
        <v/>
      </c>
      <c r="H4" s="18">
        <f>F4-G4-E4</f>
        <v/>
      </c>
      <c r="I4" s="19">
        <f>MAX(0,-H4)*(TMI+PRELEVSOCIAUX)</f>
        <v/>
      </c>
      <c r="J4" s="18">
        <f>F4-G4+I4</f>
        <v/>
      </c>
    </row>
    <row r="5" ht="17" customHeight="1">
      <c r="A5" s="14" t="n">
        <v>3</v>
      </c>
      <c r="B5" s="15">
        <f>IF(3&lt;=DUREE_MURS,(PRIX*(1-TERRAIN_PCT)+FRAIS_NOTAIRE)/DUREE_MURS,0)</f>
        <v/>
      </c>
      <c r="C5" s="15">
        <f>IF(3&lt;=DUREE_MOBILIER,MOBILIER/DUREE_MOBILIER,0)</f>
        <v/>
      </c>
      <c r="D5" s="15">
        <f>IF(3&lt;=DUREE_TRAVAUX,TRAVAUX/DUREE_TRAVAUX,0)</f>
        <v/>
      </c>
      <c r="E5" s="15">
        <f>B5+C5+D5</f>
        <v/>
      </c>
      <c r="F5" s="15">
        <f>LOYER_MENSUEL*12*(1-VACANCE)</f>
        <v/>
      </c>
      <c r="G5" s="15">
        <f>CHARGES_AN+=INTERETS*MAX(0,1-(3-1)/20)+TAXE_FONCIERE</f>
        <v/>
      </c>
      <c r="H5" s="15">
        <f>F5-G5-E5</f>
        <v/>
      </c>
      <c r="I5" s="16">
        <f>MAX(0,-H5)*(TMI+PRELEVSOCIAUX)</f>
        <v/>
      </c>
      <c r="J5" s="15">
        <f>F5-G5+I5</f>
        <v/>
      </c>
    </row>
    <row r="6" ht="17" customHeight="1">
      <c r="A6" s="17" t="n">
        <v>4</v>
      </c>
      <c r="B6" s="18">
        <f>IF(4&lt;=DUREE_MURS,(PRIX*(1-TERRAIN_PCT)+FRAIS_NOTAIRE)/DUREE_MURS,0)</f>
        <v/>
      </c>
      <c r="C6" s="18">
        <f>IF(4&lt;=DUREE_MOBILIER,MOBILIER/DUREE_MOBILIER,0)</f>
        <v/>
      </c>
      <c r="D6" s="18">
        <f>IF(4&lt;=DUREE_TRAVAUX,TRAVAUX/DUREE_TRAVAUX,0)</f>
        <v/>
      </c>
      <c r="E6" s="18">
        <f>B6+C6+D6</f>
        <v/>
      </c>
      <c r="F6" s="18">
        <f>LOYER_MENSUEL*12*(1-VACANCE)</f>
        <v/>
      </c>
      <c r="G6" s="18">
        <f>CHARGES_AN+=INTERETS*MAX(0,1-(4-1)/20)+TAXE_FONCIERE</f>
        <v/>
      </c>
      <c r="H6" s="18">
        <f>F6-G6-E6</f>
        <v/>
      </c>
      <c r="I6" s="19">
        <f>MAX(0,-H6)*(TMI+PRELEVSOCIAUX)</f>
        <v/>
      </c>
      <c r="J6" s="18">
        <f>F6-G6+I6</f>
        <v/>
      </c>
    </row>
    <row r="7" ht="17" customHeight="1">
      <c r="A7" s="14" t="n">
        <v>5</v>
      </c>
      <c r="B7" s="15">
        <f>IF(5&lt;=DUREE_MURS,(PRIX*(1-TERRAIN_PCT)+FRAIS_NOTAIRE)/DUREE_MURS,0)</f>
        <v/>
      </c>
      <c r="C7" s="15">
        <f>IF(5&lt;=DUREE_MOBILIER,MOBILIER/DUREE_MOBILIER,0)</f>
        <v/>
      </c>
      <c r="D7" s="15">
        <f>IF(5&lt;=DUREE_TRAVAUX,TRAVAUX/DUREE_TRAVAUX,0)</f>
        <v/>
      </c>
      <c r="E7" s="15">
        <f>B7+C7+D7</f>
        <v/>
      </c>
      <c r="F7" s="15">
        <f>LOYER_MENSUEL*12*(1-VACANCE)</f>
        <v/>
      </c>
      <c r="G7" s="15">
        <f>CHARGES_AN+=INTERETS*MAX(0,1-(5-1)/20)+TAXE_FONCIERE</f>
        <v/>
      </c>
      <c r="H7" s="15">
        <f>F7-G7-E7</f>
        <v/>
      </c>
      <c r="I7" s="16">
        <f>MAX(0,-H7)*(TMI+PRELEVSOCIAUX)</f>
        <v/>
      </c>
      <c r="J7" s="15">
        <f>F7-G7+I7</f>
        <v/>
      </c>
    </row>
    <row r="8" ht="17" customHeight="1">
      <c r="A8" s="17" t="n">
        <v>6</v>
      </c>
      <c r="B8" s="18">
        <f>IF(6&lt;=DUREE_MURS,(PRIX*(1-TERRAIN_PCT)+FRAIS_NOTAIRE)/DUREE_MURS,0)</f>
        <v/>
      </c>
      <c r="C8" s="18">
        <f>IF(6&lt;=DUREE_MOBILIER,MOBILIER/DUREE_MOBILIER,0)</f>
        <v/>
      </c>
      <c r="D8" s="18">
        <f>IF(6&lt;=DUREE_TRAVAUX,TRAVAUX/DUREE_TRAVAUX,0)</f>
        <v/>
      </c>
      <c r="E8" s="18">
        <f>B8+C8+D8</f>
        <v/>
      </c>
      <c r="F8" s="18">
        <f>LOYER_MENSUEL*12*(1-VACANCE)</f>
        <v/>
      </c>
      <c r="G8" s="18">
        <f>CHARGES_AN+=INTERETS*MAX(0,1-(6-1)/20)+TAXE_FONCIERE</f>
        <v/>
      </c>
      <c r="H8" s="18">
        <f>F8-G8-E8</f>
        <v/>
      </c>
      <c r="I8" s="19">
        <f>MAX(0,-H8)*(TMI+PRELEVSOCIAUX)</f>
        <v/>
      </c>
      <c r="J8" s="18">
        <f>F8-G8+I8</f>
        <v/>
      </c>
    </row>
    <row r="9" ht="17" customHeight="1">
      <c r="A9" s="14" t="n">
        <v>7</v>
      </c>
      <c r="B9" s="15">
        <f>IF(7&lt;=DUREE_MURS,(PRIX*(1-TERRAIN_PCT)+FRAIS_NOTAIRE)/DUREE_MURS,0)</f>
        <v/>
      </c>
      <c r="C9" s="15">
        <f>IF(7&lt;=DUREE_MOBILIER,MOBILIER/DUREE_MOBILIER,0)</f>
        <v/>
      </c>
      <c r="D9" s="15">
        <f>IF(7&lt;=DUREE_TRAVAUX,TRAVAUX/DUREE_TRAVAUX,0)</f>
        <v/>
      </c>
      <c r="E9" s="15">
        <f>B9+C9+D9</f>
        <v/>
      </c>
      <c r="F9" s="15">
        <f>LOYER_MENSUEL*12*(1-VACANCE)</f>
        <v/>
      </c>
      <c r="G9" s="15">
        <f>CHARGES_AN+=INTERETS*MAX(0,1-(7-1)/20)+TAXE_FONCIERE</f>
        <v/>
      </c>
      <c r="H9" s="15">
        <f>F9-G9-E9</f>
        <v/>
      </c>
      <c r="I9" s="16">
        <f>MAX(0,-H9)*(TMI+PRELEVSOCIAUX)</f>
        <v/>
      </c>
      <c r="J9" s="15">
        <f>F9-G9+I9</f>
        <v/>
      </c>
    </row>
    <row r="10" ht="17" customHeight="1">
      <c r="A10" s="17" t="n">
        <v>8</v>
      </c>
      <c r="B10" s="18">
        <f>IF(8&lt;=DUREE_MURS,(PRIX*(1-TERRAIN_PCT)+FRAIS_NOTAIRE)/DUREE_MURS,0)</f>
        <v/>
      </c>
      <c r="C10" s="18">
        <f>IF(8&lt;=DUREE_MOBILIER,MOBILIER/DUREE_MOBILIER,0)</f>
        <v/>
      </c>
      <c r="D10" s="18">
        <f>IF(8&lt;=DUREE_TRAVAUX,TRAVAUX/DUREE_TRAVAUX,0)</f>
        <v/>
      </c>
      <c r="E10" s="18">
        <f>B10+C10+D10</f>
        <v/>
      </c>
      <c r="F10" s="18">
        <f>LOYER_MENSUEL*12*(1-VACANCE)</f>
        <v/>
      </c>
      <c r="G10" s="18">
        <f>CHARGES_AN+=INTERETS*MAX(0,1-(8-1)/20)+TAXE_FONCIERE</f>
        <v/>
      </c>
      <c r="H10" s="18">
        <f>F10-G10-E10</f>
        <v/>
      </c>
      <c r="I10" s="19">
        <f>MAX(0,-H10)*(TMI+PRELEVSOCIAUX)</f>
        <v/>
      </c>
      <c r="J10" s="18">
        <f>F10-G10+I10</f>
        <v/>
      </c>
    </row>
    <row r="11" ht="17" customHeight="1">
      <c r="A11" s="14" t="n">
        <v>9</v>
      </c>
      <c r="B11" s="15">
        <f>IF(9&lt;=DUREE_MURS,(PRIX*(1-TERRAIN_PCT)+FRAIS_NOTAIRE)/DUREE_MURS,0)</f>
        <v/>
      </c>
      <c r="C11" s="15">
        <f>IF(9&lt;=DUREE_MOBILIER,MOBILIER/DUREE_MOBILIER,0)</f>
        <v/>
      </c>
      <c r="D11" s="15">
        <f>IF(9&lt;=DUREE_TRAVAUX,TRAVAUX/DUREE_TRAVAUX,0)</f>
        <v/>
      </c>
      <c r="E11" s="15">
        <f>B11+C11+D11</f>
        <v/>
      </c>
      <c r="F11" s="15">
        <f>LOYER_MENSUEL*12*(1-VACANCE)</f>
        <v/>
      </c>
      <c r="G11" s="15">
        <f>CHARGES_AN+=INTERETS*MAX(0,1-(9-1)/20)+TAXE_FONCIERE</f>
        <v/>
      </c>
      <c r="H11" s="15">
        <f>F11-G11-E11</f>
        <v/>
      </c>
      <c r="I11" s="16">
        <f>MAX(0,-H11)*(TMI+PRELEVSOCIAUX)</f>
        <v/>
      </c>
      <c r="J11" s="15">
        <f>F11-G11+I11</f>
        <v/>
      </c>
    </row>
    <row r="12" ht="17" customHeight="1">
      <c r="A12" s="17" t="n">
        <v>10</v>
      </c>
      <c r="B12" s="18">
        <f>IF(10&lt;=DUREE_MURS,(PRIX*(1-TERRAIN_PCT)+FRAIS_NOTAIRE)/DUREE_MURS,0)</f>
        <v/>
      </c>
      <c r="C12" s="18">
        <f>IF(10&lt;=DUREE_MOBILIER,MOBILIER/DUREE_MOBILIER,0)</f>
        <v/>
      </c>
      <c r="D12" s="18">
        <f>IF(10&lt;=DUREE_TRAVAUX,TRAVAUX/DUREE_TRAVAUX,0)</f>
        <v/>
      </c>
      <c r="E12" s="18">
        <f>B12+C12+D12</f>
        <v/>
      </c>
      <c r="F12" s="18">
        <f>LOYER_MENSUEL*12*(1-VACANCE)</f>
        <v/>
      </c>
      <c r="G12" s="18">
        <f>CHARGES_AN+=INTERETS*MAX(0,1-(10-1)/20)+TAXE_FONCIERE</f>
        <v/>
      </c>
      <c r="H12" s="18">
        <f>F12-G12-E12</f>
        <v/>
      </c>
      <c r="I12" s="19">
        <f>MAX(0,-H12)*(TMI+PRELEVSOCIAUX)</f>
        <v/>
      </c>
      <c r="J12" s="18">
        <f>F12-G12+I12</f>
        <v/>
      </c>
    </row>
    <row r="13" ht="17" customHeight="1">
      <c r="A13" s="14" t="n">
        <v>11</v>
      </c>
      <c r="B13" s="15">
        <f>IF(11&lt;=DUREE_MURS,(PRIX*(1-TERRAIN_PCT)+FRAIS_NOTAIRE)/DUREE_MURS,0)</f>
        <v/>
      </c>
      <c r="C13" s="15">
        <f>IF(11&lt;=DUREE_MOBILIER,MOBILIER/DUREE_MOBILIER,0)</f>
        <v/>
      </c>
      <c r="D13" s="15">
        <f>IF(11&lt;=DUREE_TRAVAUX,TRAVAUX/DUREE_TRAVAUX,0)</f>
        <v/>
      </c>
      <c r="E13" s="15">
        <f>B13+C13+D13</f>
        <v/>
      </c>
      <c r="F13" s="15">
        <f>LOYER_MENSUEL*12*(1-VACANCE)</f>
        <v/>
      </c>
      <c r="G13" s="15">
        <f>CHARGES_AN+=INTERETS*MAX(0,1-(11-1)/20)+TAXE_FONCIERE</f>
        <v/>
      </c>
      <c r="H13" s="15">
        <f>F13-G13-E13</f>
        <v/>
      </c>
      <c r="I13" s="16">
        <f>MAX(0,-H13)*(TMI+PRELEVSOCIAUX)</f>
        <v/>
      </c>
      <c r="J13" s="15">
        <f>F13-G13+I13</f>
        <v/>
      </c>
    </row>
    <row r="14" ht="17" customHeight="1">
      <c r="A14" s="17" t="n">
        <v>12</v>
      </c>
      <c r="B14" s="18">
        <f>IF(12&lt;=DUREE_MURS,(PRIX*(1-TERRAIN_PCT)+FRAIS_NOTAIRE)/DUREE_MURS,0)</f>
        <v/>
      </c>
      <c r="C14" s="18">
        <f>IF(12&lt;=DUREE_MOBILIER,MOBILIER/DUREE_MOBILIER,0)</f>
        <v/>
      </c>
      <c r="D14" s="18">
        <f>IF(12&lt;=DUREE_TRAVAUX,TRAVAUX/DUREE_TRAVAUX,0)</f>
        <v/>
      </c>
      <c r="E14" s="18">
        <f>B14+C14+D14</f>
        <v/>
      </c>
      <c r="F14" s="18">
        <f>LOYER_MENSUEL*12*(1-VACANCE)</f>
        <v/>
      </c>
      <c r="G14" s="18">
        <f>CHARGES_AN+=INTERETS*MAX(0,1-(12-1)/20)+TAXE_FONCIERE</f>
        <v/>
      </c>
      <c r="H14" s="18">
        <f>F14-G14-E14</f>
        <v/>
      </c>
      <c r="I14" s="19">
        <f>MAX(0,-H14)*(TMI+PRELEVSOCIAUX)</f>
        <v/>
      </c>
      <c r="J14" s="18">
        <f>F14-G14+I14</f>
        <v/>
      </c>
    </row>
    <row r="15" ht="17" customHeight="1">
      <c r="A15" s="14" t="n">
        <v>13</v>
      </c>
      <c r="B15" s="15">
        <f>IF(13&lt;=DUREE_MURS,(PRIX*(1-TERRAIN_PCT)+FRAIS_NOTAIRE)/DUREE_MURS,0)</f>
        <v/>
      </c>
      <c r="C15" s="15">
        <f>IF(13&lt;=DUREE_MOBILIER,MOBILIER/DUREE_MOBILIER,0)</f>
        <v/>
      </c>
      <c r="D15" s="15">
        <f>IF(13&lt;=DUREE_TRAVAUX,TRAVAUX/DUREE_TRAVAUX,0)</f>
        <v/>
      </c>
      <c r="E15" s="15">
        <f>B15+C15+D15</f>
        <v/>
      </c>
      <c r="F15" s="15">
        <f>LOYER_MENSUEL*12*(1-VACANCE)</f>
        <v/>
      </c>
      <c r="G15" s="15">
        <f>CHARGES_AN+=INTERETS*MAX(0,1-(13-1)/20)+TAXE_FONCIERE</f>
        <v/>
      </c>
      <c r="H15" s="15">
        <f>F15-G15-E15</f>
        <v/>
      </c>
      <c r="I15" s="16">
        <f>MAX(0,-H15)*(TMI+PRELEVSOCIAUX)</f>
        <v/>
      </c>
      <c r="J15" s="15">
        <f>F15-G15+I15</f>
        <v/>
      </c>
    </row>
    <row r="16" ht="17" customHeight="1">
      <c r="A16" s="17" t="n">
        <v>14</v>
      </c>
      <c r="B16" s="18">
        <f>IF(14&lt;=DUREE_MURS,(PRIX*(1-TERRAIN_PCT)+FRAIS_NOTAIRE)/DUREE_MURS,0)</f>
        <v/>
      </c>
      <c r="C16" s="18">
        <f>IF(14&lt;=DUREE_MOBILIER,MOBILIER/DUREE_MOBILIER,0)</f>
        <v/>
      </c>
      <c r="D16" s="18">
        <f>IF(14&lt;=DUREE_TRAVAUX,TRAVAUX/DUREE_TRAVAUX,0)</f>
        <v/>
      </c>
      <c r="E16" s="18">
        <f>B16+C16+D16</f>
        <v/>
      </c>
      <c r="F16" s="18">
        <f>LOYER_MENSUEL*12*(1-VACANCE)</f>
        <v/>
      </c>
      <c r="G16" s="18">
        <f>CHARGES_AN+=INTERETS*MAX(0,1-(14-1)/20)+TAXE_FONCIERE</f>
        <v/>
      </c>
      <c r="H16" s="18">
        <f>F16-G16-E16</f>
        <v/>
      </c>
      <c r="I16" s="19">
        <f>MAX(0,-H16)*(TMI+PRELEVSOCIAUX)</f>
        <v/>
      </c>
      <c r="J16" s="18">
        <f>F16-G16+I16</f>
        <v/>
      </c>
    </row>
    <row r="17" ht="17" customHeight="1">
      <c r="A17" s="14" t="n">
        <v>15</v>
      </c>
      <c r="B17" s="15">
        <f>IF(15&lt;=DUREE_MURS,(PRIX*(1-TERRAIN_PCT)+FRAIS_NOTAIRE)/DUREE_MURS,0)</f>
        <v/>
      </c>
      <c r="C17" s="15">
        <f>IF(15&lt;=DUREE_MOBILIER,MOBILIER/DUREE_MOBILIER,0)</f>
        <v/>
      </c>
      <c r="D17" s="15">
        <f>IF(15&lt;=DUREE_TRAVAUX,TRAVAUX/DUREE_TRAVAUX,0)</f>
        <v/>
      </c>
      <c r="E17" s="15">
        <f>B17+C17+D17</f>
        <v/>
      </c>
      <c r="F17" s="15">
        <f>LOYER_MENSUEL*12*(1-VACANCE)</f>
        <v/>
      </c>
      <c r="G17" s="15">
        <f>CHARGES_AN+=INTERETS*MAX(0,1-(15-1)/20)+TAXE_FONCIERE</f>
        <v/>
      </c>
      <c r="H17" s="15">
        <f>F17-G17-E17</f>
        <v/>
      </c>
      <c r="I17" s="16">
        <f>MAX(0,-H17)*(TMI+PRELEVSOCIAUX)</f>
        <v/>
      </c>
      <c r="J17" s="15">
        <f>F17-G17+I17</f>
        <v/>
      </c>
    </row>
    <row r="18" ht="17" customHeight="1">
      <c r="A18" s="17" t="n">
        <v>16</v>
      </c>
      <c r="B18" s="18">
        <f>IF(16&lt;=DUREE_MURS,(PRIX*(1-TERRAIN_PCT)+FRAIS_NOTAIRE)/DUREE_MURS,0)</f>
        <v/>
      </c>
      <c r="C18" s="18">
        <f>IF(16&lt;=DUREE_MOBILIER,MOBILIER/DUREE_MOBILIER,0)</f>
        <v/>
      </c>
      <c r="D18" s="18">
        <f>IF(16&lt;=DUREE_TRAVAUX,TRAVAUX/DUREE_TRAVAUX,0)</f>
        <v/>
      </c>
      <c r="E18" s="18">
        <f>B18+C18+D18</f>
        <v/>
      </c>
      <c r="F18" s="18">
        <f>LOYER_MENSUEL*12*(1-VACANCE)</f>
        <v/>
      </c>
      <c r="G18" s="18">
        <f>CHARGES_AN+=INTERETS*MAX(0,1-(16-1)/20)+TAXE_FONCIERE</f>
        <v/>
      </c>
      <c r="H18" s="18">
        <f>F18-G18-E18</f>
        <v/>
      </c>
      <c r="I18" s="19">
        <f>MAX(0,-H18)*(TMI+PRELEVSOCIAUX)</f>
        <v/>
      </c>
      <c r="J18" s="18">
        <f>F18-G18+I18</f>
        <v/>
      </c>
    </row>
    <row r="19" ht="17" customHeight="1">
      <c r="A19" s="14" t="n">
        <v>17</v>
      </c>
      <c r="B19" s="15">
        <f>IF(17&lt;=DUREE_MURS,(PRIX*(1-TERRAIN_PCT)+FRAIS_NOTAIRE)/DUREE_MURS,0)</f>
        <v/>
      </c>
      <c r="C19" s="15">
        <f>IF(17&lt;=DUREE_MOBILIER,MOBILIER/DUREE_MOBILIER,0)</f>
        <v/>
      </c>
      <c r="D19" s="15">
        <f>IF(17&lt;=DUREE_TRAVAUX,TRAVAUX/DUREE_TRAVAUX,0)</f>
        <v/>
      </c>
      <c r="E19" s="15">
        <f>B19+C19+D19</f>
        <v/>
      </c>
      <c r="F19" s="15">
        <f>LOYER_MENSUEL*12*(1-VACANCE)</f>
        <v/>
      </c>
      <c r="G19" s="15">
        <f>CHARGES_AN+=INTERETS*MAX(0,1-(17-1)/20)+TAXE_FONCIERE</f>
        <v/>
      </c>
      <c r="H19" s="15">
        <f>F19-G19-E19</f>
        <v/>
      </c>
      <c r="I19" s="16">
        <f>MAX(0,-H19)*(TMI+PRELEVSOCIAUX)</f>
        <v/>
      </c>
      <c r="J19" s="15">
        <f>F19-G19+I19</f>
        <v/>
      </c>
    </row>
    <row r="20" ht="17" customHeight="1">
      <c r="A20" s="17" t="n">
        <v>18</v>
      </c>
      <c r="B20" s="18">
        <f>IF(18&lt;=DUREE_MURS,(PRIX*(1-TERRAIN_PCT)+FRAIS_NOTAIRE)/DUREE_MURS,0)</f>
        <v/>
      </c>
      <c r="C20" s="18">
        <f>IF(18&lt;=DUREE_MOBILIER,MOBILIER/DUREE_MOBILIER,0)</f>
        <v/>
      </c>
      <c r="D20" s="18">
        <f>IF(18&lt;=DUREE_TRAVAUX,TRAVAUX/DUREE_TRAVAUX,0)</f>
        <v/>
      </c>
      <c r="E20" s="18">
        <f>B20+C20+D20</f>
        <v/>
      </c>
      <c r="F20" s="18">
        <f>LOYER_MENSUEL*12*(1-VACANCE)</f>
        <v/>
      </c>
      <c r="G20" s="18">
        <f>CHARGES_AN+=INTERETS*MAX(0,1-(18-1)/20)+TAXE_FONCIERE</f>
        <v/>
      </c>
      <c r="H20" s="18">
        <f>F20-G20-E20</f>
        <v/>
      </c>
      <c r="I20" s="19">
        <f>MAX(0,-H20)*(TMI+PRELEVSOCIAUX)</f>
        <v/>
      </c>
      <c r="J20" s="18">
        <f>F20-G20+I20</f>
        <v/>
      </c>
    </row>
    <row r="21" ht="17" customHeight="1">
      <c r="A21" s="14" t="n">
        <v>19</v>
      </c>
      <c r="B21" s="15">
        <f>IF(19&lt;=DUREE_MURS,(PRIX*(1-TERRAIN_PCT)+FRAIS_NOTAIRE)/DUREE_MURS,0)</f>
        <v/>
      </c>
      <c r="C21" s="15">
        <f>IF(19&lt;=DUREE_MOBILIER,MOBILIER/DUREE_MOBILIER,0)</f>
        <v/>
      </c>
      <c r="D21" s="15">
        <f>IF(19&lt;=DUREE_TRAVAUX,TRAVAUX/DUREE_TRAVAUX,0)</f>
        <v/>
      </c>
      <c r="E21" s="15">
        <f>B21+C21+D21</f>
        <v/>
      </c>
      <c r="F21" s="15">
        <f>LOYER_MENSUEL*12*(1-VACANCE)</f>
        <v/>
      </c>
      <c r="G21" s="15">
        <f>CHARGES_AN+=INTERETS*MAX(0,1-(19-1)/20)+TAXE_FONCIERE</f>
        <v/>
      </c>
      <c r="H21" s="15">
        <f>F21-G21-E21</f>
        <v/>
      </c>
      <c r="I21" s="16">
        <f>MAX(0,-H21)*(TMI+PRELEVSOCIAUX)</f>
        <v/>
      </c>
      <c r="J21" s="15">
        <f>F21-G21+I21</f>
        <v/>
      </c>
    </row>
    <row r="22" ht="17" customHeight="1">
      <c r="A22" s="17" t="n">
        <v>20</v>
      </c>
      <c r="B22" s="18">
        <f>IF(20&lt;=DUREE_MURS,(PRIX*(1-TERRAIN_PCT)+FRAIS_NOTAIRE)/DUREE_MURS,0)</f>
        <v/>
      </c>
      <c r="C22" s="18">
        <f>IF(20&lt;=DUREE_MOBILIER,MOBILIER/DUREE_MOBILIER,0)</f>
        <v/>
      </c>
      <c r="D22" s="18">
        <f>IF(20&lt;=DUREE_TRAVAUX,TRAVAUX/DUREE_TRAVAUX,0)</f>
        <v/>
      </c>
      <c r="E22" s="18">
        <f>B22+C22+D22</f>
        <v/>
      </c>
      <c r="F22" s="18">
        <f>LOYER_MENSUEL*12*(1-VACANCE)</f>
        <v/>
      </c>
      <c r="G22" s="18">
        <f>CHARGES_AN+=INTERETS*MAX(0,1-(20-1)/20)+TAXE_FONCIERE</f>
        <v/>
      </c>
      <c r="H22" s="18">
        <f>F22-G22-E22</f>
        <v/>
      </c>
      <c r="I22" s="19">
        <f>MAX(0,-H22)*(TMI+PRELEVSOCIAUX)</f>
        <v/>
      </c>
      <c r="J22" s="18">
        <f>F22-G22+I22</f>
        <v/>
      </c>
    </row>
    <row r="23" ht="17" customHeight="1">
      <c r="A23" s="14" t="n">
        <v>21</v>
      </c>
      <c r="B23" s="15">
        <f>IF(21&lt;=DUREE_MURS,(PRIX*(1-TERRAIN_PCT)+FRAIS_NOTAIRE)/DUREE_MURS,0)</f>
        <v/>
      </c>
      <c r="C23" s="15">
        <f>IF(21&lt;=DUREE_MOBILIER,MOBILIER/DUREE_MOBILIER,0)</f>
        <v/>
      </c>
      <c r="D23" s="15">
        <f>IF(21&lt;=DUREE_TRAVAUX,TRAVAUX/DUREE_TRAVAUX,0)</f>
        <v/>
      </c>
      <c r="E23" s="15">
        <f>B23+C23+D23</f>
        <v/>
      </c>
      <c r="F23" s="15">
        <f>LOYER_MENSUEL*12*(1-VACANCE)</f>
        <v/>
      </c>
      <c r="G23" s="15">
        <f>CHARGES_AN+=INTERETS*MAX(0,1-(21-1)/20)+TAXE_FONCIERE</f>
        <v/>
      </c>
      <c r="H23" s="15">
        <f>F23-G23-E23</f>
        <v/>
      </c>
      <c r="I23" s="16">
        <f>MAX(0,-H23)*(TMI+PRELEVSOCIAUX)</f>
        <v/>
      </c>
      <c r="J23" s="15">
        <f>F23-G23+I23</f>
        <v/>
      </c>
    </row>
    <row r="24" ht="17" customHeight="1">
      <c r="A24" s="17" t="n">
        <v>22</v>
      </c>
      <c r="B24" s="18">
        <f>IF(22&lt;=DUREE_MURS,(PRIX*(1-TERRAIN_PCT)+FRAIS_NOTAIRE)/DUREE_MURS,0)</f>
        <v/>
      </c>
      <c r="C24" s="18">
        <f>IF(22&lt;=DUREE_MOBILIER,MOBILIER/DUREE_MOBILIER,0)</f>
        <v/>
      </c>
      <c r="D24" s="18">
        <f>IF(22&lt;=DUREE_TRAVAUX,TRAVAUX/DUREE_TRAVAUX,0)</f>
        <v/>
      </c>
      <c r="E24" s="18">
        <f>B24+C24+D24</f>
        <v/>
      </c>
      <c r="F24" s="18">
        <f>LOYER_MENSUEL*12*(1-VACANCE)</f>
        <v/>
      </c>
      <c r="G24" s="18">
        <f>CHARGES_AN+=INTERETS*MAX(0,1-(22-1)/20)+TAXE_FONCIERE</f>
        <v/>
      </c>
      <c r="H24" s="18">
        <f>F24-G24-E24</f>
        <v/>
      </c>
      <c r="I24" s="19">
        <f>MAX(0,-H24)*(TMI+PRELEVSOCIAUX)</f>
        <v/>
      </c>
      <c r="J24" s="18">
        <f>F24-G24+I24</f>
        <v/>
      </c>
    </row>
    <row r="25" ht="17" customHeight="1">
      <c r="A25" s="14" t="n">
        <v>23</v>
      </c>
      <c r="B25" s="15">
        <f>IF(23&lt;=DUREE_MURS,(PRIX*(1-TERRAIN_PCT)+FRAIS_NOTAIRE)/DUREE_MURS,0)</f>
        <v/>
      </c>
      <c r="C25" s="15">
        <f>IF(23&lt;=DUREE_MOBILIER,MOBILIER/DUREE_MOBILIER,0)</f>
        <v/>
      </c>
      <c r="D25" s="15">
        <f>IF(23&lt;=DUREE_TRAVAUX,TRAVAUX/DUREE_TRAVAUX,0)</f>
        <v/>
      </c>
      <c r="E25" s="15">
        <f>B25+C25+D25</f>
        <v/>
      </c>
      <c r="F25" s="15">
        <f>LOYER_MENSUEL*12*(1-VACANCE)</f>
        <v/>
      </c>
      <c r="G25" s="15">
        <f>CHARGES_AN+=INTERETS*MAX(0,1-(23-1)/20)+TAXE_FONCIERE</f>
        <v/>
      </c>
      <c r="H25" s="15">
        <f>F25-G25-E25</f>
        <v/>
      </c>
      <c r="I25" s="16">
        <f>MAX(0,-H25)*(TMI+PRELEVSOCIAUX)</f>
        <v/>
      </c>
      <c r="J25" s="15">
        <f>F25-G25+I25</f>
        <v/>
      </c>
    </row>
    <row r="26" ht="17" customHeight="1">
      <c r="A26" s="17" t="n">
        <v>24</v>
      </c>
      <c r="B26" s="18">
        <f>IF(24&lt;=DUREE_MURS,(PRIX*(1-TERRAIN_PCT)+FRAIS_NOTAIRE)/DUREE_MURS,0)</f>
        <v/>
      </c>
      <c r="C26" s="18">
        <f>IF(24&lt;=DUREE_MOBILIER,MOBILIER/DUREE_MOBILIER,0)</f>
        <v/>
      </c>
      <c r="D26" s="18">
        <f>IF(24&lt;=DUREE_TRAVAUX,TRAVAUX/DUREE_TRAVAUX,0)</f>
        <v/>
      </c>
      <c r="E26" s="18">
        <f>B26+C26+D26</f>
        <v/>
      </c>
      <c r="F26" s="18">
        <f>LOYER_MENSUEL*12*(1-VACANCE)</f>
        <v/>
      </c>
      <c r="G26" s="18">
        <f>CHARGES_AN+=INTERETS*MAX(0,1-(24-1)/20)+TAXE_FONCIERE</f>
        <v/>
      </c>
      <c r="H26" s="18">
        <f>F26-G26-E26</f>
        <v/>
      </c>
      <c r="I26" s="19">
        <f>MAX(0,-H26)*(TMI+PRELEVSOCIAUX)</f>
        <v/>
      </c>
      <c r="J26" s="18">
        <f>F26-G26+I26</f>
        <v/>
      </c>
    </row>
    <row r="27" ht="17" customHeight="1">
      <c r="A27" s="14" t="n">
        <v>25</v>
      </c>
      <c r="B27" s="15">
        <f>IF(25&lt;=DUREE_MURS,(PRIX*(1-TERRAIN_PCT)+FRAIS_NOTAIRE)/DUREE_MURS,0)</f>
        <v/>
      </c>
      <c r="C27" s="15">
        <f>IF(25&lt;=DUREE_MOBILIER,MOBILIER/DUREE_MOBILIER,0)</f>
        <v/>
      </c>
      <c r="D27" s="15">
        <f>IF(25&lt;=DUREE_TRAVAUX,TRAVAUX/DUREE_TRAVAUX,0)</f>
        <v/>
      </c>
      <c r="E27" s="15">
        <f>B27+C27+D27</f>
        <v/>
      </c>
      <c r="F27" s="15">
        <f>LOYER_MENSUEL*12*(1-VACANCE)</f>
        <v/>
      </c>
      <c r="G27" s="15">
        <f>CHARGES_AN+=INTERETS*MAX(0,1-(25-1)/20)+TAXE_FONCIERE</f>
        <v/>
      </c>
      <c r="H27" s="15">
        <f>F27-G27-E27</f>
        <v/>
      </c>
      <c r="I27" s="16">
        <f>MAX(0,-H27)*(TMI+PRELEVSOCIAUX)</f>
        <v/>
      </c>
      <c r="J27" s="15">
        <f>F27-G27+I27</f>
        <v/>
      </c>
    </row>
    <row r="28" ht="17" customHeight="1">
      <c r="A28" s="17" t="n">
        <v>26</v>
      </c>
      <c r="B28" s="18">
        <f>IF(26&lt;=DUREE_MURS,(PRIX*(1-TERRAIN_PCT)+FRAIS_NOTAIRE)/DUREE_MURS,0)</f>
        <v/>
      </c>
      <c r="C28" s="18">
        <f>IF(26&lt;=DUREE_MOBILIER,MOBILIER/DUREE_MOBILIER,0)</f>
        <v/>
      </c>
      <c r="D28" s="18">
        <f>IF(26&lt;=DUREE_TRAVAUX,TRAVAUX/DUREE_TRAVAUX,0)</f>
        <v/>
      </c>
      <c r="E28" s="18">
        <f>B28+C28+D28</f>
        <v/>
      </c>
      <c r="F28" s="18">
        <f>LOYER_MENSUEL*12*(1-VACANCE)</f>
        <v/>
      </c>
      <c r="G28" s="18">
        <f>CHARGES_AN+=INTERETS*MAX(0,1-(26-1)/20)+TAXE_FONCIERE</f>
        <v/>
      </c>
      <c r="H28" s="18">
        <f>F28-G28-E28</f>
        <v/>
      </c>
      <c r="I28" s="19">
        <f>MAX(0,-H28)*(TMI+PRELEVSOCIAUX)</f>
        <v/>
      </c>
      <c r="J28" s="18">
        <f>F28-G28+I28</f>
        <v/>
      </c>
    </row>
    <row r="29" ht="17" customHeight="1">
      <c r="A29" s="14" t="n">
        <v>27</v>
      </c>
      <c r="B29" s="15">
        <f>IF(27&lt;=DUREE_MURS,(PRIX*(1-TERRAIN_PCT)+FRAIS_NOTAIRE)/DUREE_MURS,0)</f>
        <v/>
      </c>
      <c r="C29" s="15">
        <f>IF(27&lt;=DUREE_MOBILIER,MOBILIER/DUREE_MOBILIER,0)</f>
        <v/>
      </c>
      <c r="D29" s="15">
        <f>IF(27&lt;=DUREE_TRAVAUX,TRAVAUX/DUREE_TRAVAUX,0)</f>
        <v/>
      </c>
      <c r="E29" s="15">
        <f>B29+C29+D29</f>
        <v/>
      </c>
      <c r="F29" s="15">
        <f>LOYER_MENSUEL*12*(1-VACANCE)</f>
        <v/>
      </c>
      <c r="G29" s="15">
        <f>CHARGES_AN+=INTERETS*MAX(0,1-(27-1)/20)+TAXE_FONCIERE</f>
        <v/>
      </c>
      <c r="H29" s="15">
        <f>F29-G29-E29</f>
        <v/>
      </c>
      <c r="I29" s="16">
        <f>MAX(0,-H29)*(TMI+PRELEVSOCIAUX)</f>
        <v/>
      </c>
      <c r="J29" s="15">
        <f>F29-G29+I29</f>
        <v/>
      </c>
    </row>
    <row r="30" ht="17" customHeight="1">
      <c r="A30" s="17" t="n">
        <v>28</v>
      </c>
      <c r="B30" s="18">
        <f>IF(28&lt;=DUREE_MURS,(PRIX*(1-TERRAIN_PCT)+FRAIS_NOTAIRE)/DUREE_MURS,0)</f>
        <v/>
      </c>
      <c r="C30" s="18">
        <f>IF(28&lt;=DUREE_MOBILIER,MOBILIER/DUREE_MOBILIER,0)</f>
        <v/>
      </c>
      <c r="D30" s="18">
        <f>IF(28&lt;=DUREE_TRAVAUX,TRAVAUX/DUREE_TRAVAUX,0)</f>
        <v/>
      </c>
      <c r="E30" s="18">
        <f>B30+C30+D30</f>
        <v/>
      </c>
      <c r="F30" s="18">
        <f>LOYER_MENSUEL*12*(1-VACANCE)</f>
        <v/>
      </c>
      <c r="G30" s="18">
        <f>CHARGES_AN+=INTERETS*MAX(0,1-(28-1)/20)+TAXE_FONCIERE</f>
        <v/>
      </c>
      <c r="H30" s="18">
        <f>F30-G30-E30</f>
        <v/>
      </c>
      <c r="I30" s="19">
        <f>MAX(0,-H30)*(TMI+PRELEVSOCIAUX)</f>
        <v/>
      </c>
      <c r="J30" s="18">
        <f>F30-G30+I30</f>
        <v/>
      </c>
    </row>
    <row r="31" ht="17" customHeight="1">
      <c r="A31" s="14" t="n">
        <v>29</v>
      </c>
      <c r="B31" s="15">
        <f>IF(29&lt;=DUREE_MURS,(PRIX*(1-TERRAIN_PCT)+FRAIS_NOTAIRE)/DUREE_MURS,0)</f>
        <v/>
      </c>
      <c r="C31" s="15">
        <f>IF(29&lt;=DUREE_MOBILIER,MOBILIER/DUREE_MOBILIER,0)</f>
        <v/>
      </c>
      <c r="D31" s="15">
        <f>IF(29&lt;=DUREE_TRAVAUX,TRAVAUX/DUREE_TRAVAUX,0)</f>
        <v/>
      </c>
      <c r="E31" s="15">
        <f>B31+C31+D31</f>
        <v/>
      </c>
      <c r="F31" s="15">
        <f>LOYER_MENSUEL*12*(1-VACANCE)</f>
        <v/>
      </c>
      <c r="G31" s="15">
        <f>CHARGES_AN+=INTERETS*MAX(0,1-(29-1)/20)+TAXE_FONCIERE</f>
        <v/>
      </c>
      <c r="H31" s="15">
        <f>F31-G31-E31</f>
        <v/>
      </c>
      <c r="I31" s="16">
        <f>MAX(0,-H31)*(TMI+PRELEVSOCIAUX)</f>
        <v/>
      </c>
      <c r="J31" s="15">
        <f>F31-G31+I31</f>
        <v/>
      </c>
    </row>
    <row r="32" ht="17" customHeight="1">
      <c r="A32" s="17" t="n">
        <v>30</v>
      </c>
      <c r="B32" s="18">
        <f>IF(30&lt;=DUREE_MURS,(PRIX*(1-TERRAIN_PCT)+FRAIS_NOTAIRE)/DUREE_MURS,0)</f>
        <v/>
      </c>
      <c r="C32" s="18">
        <f>IF(30&lt;=DUREE_MOBILIER,MOBILIER/DUREE_MOBILIER,0)</f>
        <v/>
      </c>
      <c r="D32" s="18">
        <f>IF(30&lt;=DUREE_TRAVAUX,TRAVAUX/DUREE_TRAVAUX,0)</f>
        <v/>
      </c>
      <c r="E32" s="18">
        <f>B32+C32+D32</f>
        <v/>
      </c>
      <c r="F32" s="18">
        <f>LOYER_MENSUEL*12*(1-VACANCE)</f>
        <v/>
      </c>
      <c r="G32" s="18">
        <f>CHARGES_AN+=INTERETS*MAX(0,1-(30-1)/20)+TAXE_FONCIERE</f>
        <v/>
      </c>
      <c r="H32" s="18">
        <f>F32-G32-E32</f>
        <v/>
      </c>
      <c r="I32" s="19">
        <f>MAX(0,-H32)*(TMI+PRELEVSOCIAUX)</f>
        <v/>
      </c>
      <c r="J32" s="18">
        <f>F32-G32+I32</f>
        <v/>
      </c>
    </row>
    <row r="33" ht="22" customHeight="1">
      <c r="A33" s="20" t="inlineStr">
        <is>
          <t>TOTAL</t>
        </is>
      </c>
      <c r="B33" s="21">
        <f>SUM(B3:B32)</f>
        <v/>
      </c>
      <c r="C33" s="21">
        <f>SUM(C3:C32)</f>
        <v/>
      </c>
      <c r="D33" s="21">
        <f>SUM(D3:D32)</f>
        <v/>
      </c>
      <c r="E33" s="21">
        <f>SUM(E3:E32)</f>
        <v/>
      </c>
      <c r="F33" s="21">
        <f>SUM(F3:F32)</f>
        <v/>
      </c>
      <c r="G33" s="21">
        <f>SUM(G3:G32)</f>
        <v/>
      </c>
      <c r="H33" s="21">
        <f>SUM(H3:H32)</f>
        <v/>
      </c>
      <c r="I33" s="21">
        <f>SUM(I3:I32)</f>
        <v/>
      </c>
      <c r="J33" s="21">
        <f>SUM(J3:J32)</f>
        <v/>
      </c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58" customWidth="1" min="2" max="2"/>
  </cols>
  <sheetData>
    <row r="1" ht="28" customHeight="1">
      <c r="A1" s="12" t="inlineStr">
        <is>
          <t>Guide d'utilisation — Simulateur d'amortissement LMNP</t>
        </is>
      </c>
    </row>
    <row r="2" ht="20" customHeight="1">
      <c r="A2" s="22" t="inlineStr"/>
      <c r="B2" s="23" t="inlineStr"/>
    </row>
    <row r="3" ht="20" customHeight="1">
      <c r="A3" s="22" t="inlineStr">
        <is>
          <t>1.</t>
        </is>
      </c>
      <c r="B3" s="23" t="inlineStr">
        <is>
          <t>Ouvrez l'onglet 'Paramètres' et saisissez les données de votre bien immobilier.</t>
        </is>
      </c>
    </row>
    <row r="4" ht="20" customHeight="1">
      <c r="A4" s="22" t="inlineStr">
        <is>
          <t>2.</t>
        </is>
      </c>
      <c r="B4" s="23" t="inlineStr">
        <is>
          <t>Modifiez : prix d'acquisition, quote-part terrain, frais de notaire, travaux, mobilier.</t>
        </is>
      </c>
    </row>
    <row r="5" ht="20" customHeight="1">
      <c r="A5" s="22" t="inlineStr">
        <is>
          <t>3.</t>
        </is>
      </c>
      <c r="B5" s="23" t="inlineStr">
        <is>
          <t>Renseignez le loyer mensuel, le taux de vacance estimé et les charges annuelles.</t>
        </is>
      </c>
    </row>
    <row r="6" ht="20" customHeight="1">
      <c r="A6" s="22" t="inlineStr">
        <is>
          <t>4.</t>
        </is>
      </c>
      <c r="B6" s="23" t="inlineStr">
        <is>
          <t>Indiquez votre TMI (tranche marginale d'imposition) pour calculer l'économie fiscale.</t>
        </is>
      </c>
    </row>
    <row r="7" ht="20" customHeight="1">
      <c r="A7" s="22" t="inlineStr">
        <is>
          <t>5.</t>
        </is>
      </c>
      <c r="B7" s="23" t="inlineStr">
        <is>
          <t>Les résultats se calculent automatiquement — colonne de droite de l'onglet Paramètres.</t>
        </is>
      </c>
    </row>
    <row r="8" ht="20" customHeight="1">
      <c r="A8" s="22" t="inlineStr">
        <is>
          <t>6.</t>
        </is>
      </c>
      <c r="B8" s="23" t="inlineStr">
        <is>
          <t>Consultez le tableau complet sur 30 ans dans l'onglet 'Tableau 30 ans'.</t>
        </is>
      </c>
    </row>
    <row r="9" ht="20" customHeight="1">
      <c r="A9" s="22" t="inlineStr"/>
      <c r="B9" s="23" t="inlineStr"/>
    </row>
    <row r="10" ht="50" customHeight="1">
      <c r="A10" s="24" t="inlineStr">
        <is>
          <t>!</t>
        </is>
      </c>
      <c r="B10" s="25" t="inlineStr">
        <is>
          <t>IMPORTANT : Ce fichier est indicatif. Intérêts d'emprunt simplifiés (dégressif linéaire).
     Pas de plus-value à la revente, pas d'IFI, pas de régime micro-BIC.
     Faites valider votre montage par un expert-comptable ou un CGP.</t>
        </is>
      </c>
    </row>
    <row r="11" ht="20" customHeight="1">
      <c r="A11" s="22" t="inlineStr"/>
      <c r="B11" s="23" t="inlineStr"/>
    </row>
    <row r="12" ht="20" customHeight="1">
      <c r="A12" s="24" t="inlineStr">
        <is>
          <t>→</t>
        </is>
      </c>
      <c r="B12" s="25" t="inlineStr">
        <is>
          <t>Simulateur en ligne : investis.fr/simulateur-amortissement-lmnp</t>
        </is>
      </c>
    </row>
    <row r="13" ht="20" customHeight="1">
      <c r="A13" s="24" t="inlineStr">
        <is>
          <t>→</t>
        </is>
      </c>
      <c r="B13" s="25" t="inlineStr">
        <is>
          <t>Bilan investisseur gratuit : investis.fr/bilan-investisseur</t>
        </is>
      </c>
    </row>
    <row r="14" ht="20" customHeight="1">
      <c r="A14" s="24" t="inlineStr">
        <is>
          <t>→</t>
        </is>
      </c>
      <c r="B14" s="25" t="inlineStr">
        <is>
          <t>Guide LMNP complet : investis.fr/guide-lmnp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2026-07-19T00:06:48Z</dcterms:created>
  <dcterms:modified xmlns:dcterms="http://purl.org/dc/terms/" xmlns:xsi="http://www.w3.org/2001/XMLSchema-instance" xsi:type="dcterms:W3CDTF">2026-07-19T00:06:48Z</dcterms:modified>
</cp:coreProperties>
</file>